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ffice\Downloads\MCWD2 Board Meeting 061925\"/>
    </mc:Choice>
  </mc:AlternateContent>
  <xr:revisionPtr revIDLastSave="0" documentId="8_{A19CC786-9A74-455D-9206-B2BA3E21CA64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Budget vs. Actu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E92" i="1" s="1"/>
  <c r="B92" i="1"/>
  <c r="D92" i="1" s="1"/>
  <c r="C91" i="1"/>
  <c r="E91" i="1" s="1"/>
  <c r="B91" i="1"/>
  <c r="D91" i="1" s="1"/>
  <c r="E90" i="1"/>
  <c r="B90" i="1"/>
  <c r="D90" i="1" s="1"/>
  <c r="E89" i="1"/>
  <c r="D89" i="1"/>
  <c r="C88" i="1"/>
  <c r="E88" i="1" s="1"/>
  <c r="E87" i="1"/>
  <c r="B87" i="1"/>
  <c r="B88" i="1" s="1"/>
  <c r="E86" i="1"/>
  <c r="D86" i="1"/>
  <c r="C82" i="1"/>
  <c r="E82" i="1" s="1"/>
  <c r="C81" i="1"/>
  <c r="E81" i="1" s="1"/>
  <c r="E80" i="1"/>
  <c r="B80" i="1"/>
  <c r="B83" i="1" s="1"/>
  <c r="C79" i="1"/>
  <c r="C83" i="1" s="1"/>
  <c r="E78" i="1"/>
  <c r="D78" i="1"/>
  <c r="C74" i="1"/>
  <c r="E74" i="1" s="1"/>
  <c r="E73" i="1"/>
  <c r="B73" i="1"/>
  <c r="B74" i="1" s="1"/>
  <c r="D74" i="1" s="1"/>
  <c r="E72" i="1"/>
  <c r="D72" i="1"/>
  <c r="E70" i="1"/>
  <c r="B70" i="1"/>
  <c r="D70" i="1" s="1"/>
  <c r="E68" i="1"/>
  <c r="B68" i="1"/>
  <c r="D68" i="1" s="1"/>
  <c r="E67" i="1"/>
  <c r="C67" i="1"/>
  <c r="B67" i="1"/>
  <c r="D67" i="1" s="1"/>
  <c r="C66" i="1"/>
  <c r="C69" i="1" s="1"/>
  <c r="B66" i="1"/>
  <c r="D66" i="1" s="1"/>
  <c r="E65" i="1"/>
  <c r="C65" i="1"/>
  <c r="B65" i="1"/>
  <c r="D65" i="1" s="1"/>
  <c r="E64" i="1"/>
  <c r="B64" i="1"/>
  <c r="B69" i="1" s="1"/>
  <c r="D69" i="1" s="1"/>
  <c r="E63" i="1"/>
  <c r="D63" i="1"/>
  <c r="C63" i="1"/>
  <c r="B63" i="1"/>
  <c r="C62" i="1"/>
  <c r="E62" i="1" s="1"/>
  <c r="B62" i="1"/>
  <c r="D62" i="1" s="1"/>
  <c r="E61" i="1"/>
  <c r="D61" i="1"/>
  <c r="C61" i="1"/>
  <c r="C60" i="1"/>
  <c r="D60" i="1" s="1"/>
  <c r="C59" i="1"/>
  <c r="E59" i="1" s="1"/>
  <c r="B59" i="1"/>
  <c r="D59" i="1" s="1"/>
  <c r="C58" i="1"/>
  <c r="E58" i="1" s="1"/>
  <c r="B58" i="1"/>
  <c r="D58" i="1" s="1"/>
  <c r="C57" i="1"/>
  <c r="E57" i="1" s="1"/>
  <c r="E56" i="1"/>
  <c r="C56" i="1"/>
  <c r="D56" i="1" s="1"/>
  <c r="C55" i="1"/>
  <c r="E55" i="1" s="1"/>
  <c r="B55" i="1"/>
  <c r="D55" i="1" s="1"/>
  <c r="E54" i="1"/>
  <c r="D54" i="1"/>
  <c r="C54" i="1"/>
  <c r="C53" i="1"/>
  <c r="E53" i="1" s="1"/>
  <c r="B53" i="1"/>
  <c r="B71" i="1" s="1"/>
  <c r="C52" i="1"/>
  <c r="C71" i="1" s="1"/>
  <c r="E71" i="1" s="1"/>
  <c r="B52" i="1"/>
  <c r="E51" i="1"/>
  <c r="D51" i="1"/>
  <c r="B50" i="1"/>
  <c r="E49" i="1"/>
  <c r="C49" i="1"/>
  <c r="D49" i="1" s="1"/>
  <c r="C48" i="1"/>
  <c r="E48" i="1" s="1"/>
  <c r="C47" i="1"/>
  <c r="E47" i="1" s="1"/>
  <c r="B47" i="1"/>
  <c r="C46" i="1"/>
  <c r="E46" i="1" s="1"/>
  <c r="B46" i="1"/>
  <c r="D46" i="1" s="1"/>
  <c r="C45" i="1"/>
  <c r="E45" i="1" s="1"/>
  <c r="E44" i="1"/>
  <c r="D44" i="1"/>
  <c r="E42" i="1"/>
  <c r="D42" i="1"/>
  <c r="C42" i="1"/>
  <c r="B42" i="1"/>
  <c r="C41" i="1"/>
  <c r="E41" i="1" s="1"/>
  <c r="B41" i="1"/>
  <c r="D41" i="1" s="1"/>
  <c r="E40" i="1"/>
  <c r="D40" i="1"/>
  <c r="C40" i="1"/>
  <c r="B40" i="1"/>
  <c r="C39" i="1"/>
  <c r="E39" i="1" s="1"/>
  <c r="B39" i="1"/>
  <c r="D39" i="1" s="1"/>
  <c r="E38" i="1"/>
  <c r="D38" i="1"/>
  <c r="C38" i="1"/>
  <c r="B38" i="1"/>
  <c r="C37" i="1"/>
  <c r="E37" i="1" s="1"/>
  <c r="B37" i="1"/>
  <c r="D37" i="1" s="1"/>
  <c r="E36" i="1"/>
  <c r="D36" i="1"/>
  <c r="C36" i="1"/>
  <c r="B36" i="1"/>
  <c r="C35" i="1"/>
  <c r="E35" i="1" s="1"/>
  <c r="B35" i="1"/>
  <c r="D35" i="1" s="1"/>
  <c r="E34" i="1"/>
  <c r="D34" i="1"/>
  <c r="C34" i="1"/>
  <c r="B34" i="1"/>
  <c r="C33" i="1"/>
  <c r="C43" i="1" s="1"/>
  <c r="B33" i="1"/>
  <c r="D33" i="1" s="1"/>
  <c r="E32" i="1"/>
  <c r="D32" i="1"/>
  <c r="C32" i="1"/>
  <c r="B32" i="1"/>
  <c r="E31" i="1"/>
  <c r="D31" i="1"/>
  <c r="C28" i="1"/>
  <c r="E28" i="1" s="1"/>
  <c r="B28" i="1"/>
  <c r="D28" i="1" s="1"/>
  <c r="C27" i="1"/>
  <c r="E27" i="1" s="1"/>
  <c r="B27" i="1"/>
  <c r="D27" i="1" s="1"/>
  <c r="C26" i="1"/>
  <c r="E26" i="1" s="1"/>
  <c r="B26" i="1"/>
  <c r="D26" i="1" s="1"/>
  <c r="C25" i="1"/>
  <c r="E25" i="1" s="1"/>
  <c r="B25" i="1"/>
  <c r="D25" i="1" s="1"/>
  <c r="C24" i="1"/>
  <c r="E24" i="1" s="1"/>
  <c r="B24" i="1"/>
  <c r="D24" i="1" s="1"/>
  <c r="C23" i="1"/>
  <c r="E23" i="1" s="1"/>
  <c r="C22" i="1"/>
  <c r="C29" i="1" s="1"/>
  <c r="B22" i="1"/>
  <c r="B29" i="1" s="1"/>
  <c r="E21" i="1"/>
  <c r="C21" i="1"/>
  <c r="D21" i="1" s="1"/>
  <c r="E20" i="1"/>
  <c r="D20" i="1"/>
  <c r="E19" i="1"/>
  <c r="D19" i="1"/>
  <c r="B14" i="1"/>
  <c r="B15" i="1" s="1"/>
  <c r="E13" i="1"/>
  <c r="D13" i="1"/>
  <c r="C13" i="1"/>
  <c r="C12" i="1"/>
  <c r="D12" i="1" s="1"/>
  <c r="C11" i="1"/>
  <c r="C14" i="1" s="1"/>
  <c r="E10" i="1"/>
  <c r="C10" i="1"/>
  <c r="D10" i="1" s="1"/>
  <c r="E9" i="1"/>
  <c r="D9" i="1"/>
  <c r="E8" i="1"/>
  <c r="D8" i="1"/>
  <c r="D29" i="1" l="1"/>
  <c r="B30" i="1"/>
  <c r="D71" i="1"/>
  <c r="B16" i="1"/>
  <c r="D15" i="1"/>
  <c r="E29" i="1"/>
  <c r="C30" i="1"/>
  <c r="C15" i="1"/>
  <c r="E14" i="1"/>
  <c r="D88" i="1"/>
  <c r="B93" i="1"/>
  <c r="C84" i="1"/>
  <c r="E83" i="1"/>
  <c r="E69" i="1"/>
  <c r="B84" i="1"/>
  <c r="D83" i="1"/>
  <c r="D52" i="1"/>
  <c r="D81" i="1"/>
  <c r="D87" i="1"/>
  <c r="D11" i="1"/>
  <c r="B43" i="1"/>
  <c r="D43" i="1" s="1"/>
  <c r="C50" i="1"/>
  <c r="E50" i="1" s="1"/>
  <c r="D57" i="1"/>
  <c r="D73" i="1"/>
  <c r="E11" i="1"/>
  <c r="D64" i="1"/>
  <c r="D79" i="1"/>
  <c r="D14" i="1"/>
  <c r="E22" i="1"/>
  <c r="D48" i="1"/>
  <c r="E66" i="1"/>
  <c r="E79" i="1"/>
  <c r="E33" i="1"/>
  <c r="D53" i="1"/>
  <c r="C93" i="1"/>
  <c r="E93" i="1" s="1"/>
  <c r="E12" i="1"/>
  <c r="E60" i="1"/>
  <c r="D80" i="1"/>
  <c r="D45" i="1"/>
  <c r="D47" i="1"/>
  <c r="E52" i="1"/>
  <c r="D22" i="1"/>
  <c r="D82" i="1"/>
  <c r="D23" i="1"/>
  <c r="D50" i="1" l="1"/>
  <c r="E30" i="1"/>
  <c r="C75" i="1"/>
  <c r="E84" i="1"/>
  <c r="C94" i="1"/>
  <c r="D93" i="1"/>
  <c r="B17" i="1"/>
  <c r="D16" i="1"/>
  <c r="E43" i="1"/>
  <c r="D30" i="1"/>
  <c r="B75" i="1"/>
  <c r="D75" i="1" s="1"/>
  <c r="D84" i="1"/>
  <c r="B94" i="1"/>
  <c r="D94" i="1" s="1"/>
  <c r="C16" i="1"/>
  <c r="E15" i="1"/>
  <c r="B76" i="1" l="1"/>
  <c r="C17" i="1"/>
  <c r="E16" i="1"/>
  <c r="E94" i="1"/>
  <c r="E75" i="1"/>
  <c r="B95" i="1" l="1"/>
  <c r="C76" i="1"/>
  <c r="E17" i="1"/>
  <c r="D17" i="1"/>
  <c r="D95" i="1" l="1"/>
  <c r="E76" i="1"/>
  <c r="C95" i="1"/>
  <c r="E95" i="1" s="1"/>
  <c r="D76" i="1"/>
</calcChain>
</file>

<file path=xl/sharedStrings.xml><?xml version="1.0" encoding="utf-8"?>
<sst xmlns="http://schemas.openxmlformats.org/spreadsheetml/2006/main" count="98" uniqueCount="98">
  <si>
    <t>Total</t>
  </si>
  <si>
    <t>Actual</t>
  </si>
  <si>
    <t>Budget</t>
  </si>
  <si>
    <t>over Budget</t>
  </si>
  <si>
    <t>% of Budget</t>
  </si>
  <si>
    <t>Income</t>
  </si>
  <si>
    <t xml:space="preserve">   3010 Revenue Service Charges</t>
  </si>
  <si>
    <t xml:space="preserve">      3010-10 Fee Revenue from Tax Roll</t>
  </si>
  <si>
    <t xml:space="preserve">         3010-01 Residential Fees</t>
  </si>
  <si>
    <t xml:space="preserve">         3010-02 Commercial Fees</t>
  </si>
  <si>
    <t xml:space="preserve">         3010-03 Campground</t>
  </si>
  <si>
    <t xml:space="preserve">         3010-04 Connection Fees</t>
  </si>
  <si>
    <t xml:space="preserve">      Total 3010-10 Fee Revenue from Tax Roll</t>
  </si>
  <si>
    <t xml:space="preserve">   Total 3010 Revenue Service Charges</t>
  </si>
  <si>
    <t>Total Income</t>
  </si>
  <si>
    <t>Gross Profit</t>
  </si>
  <si>
    <t>Expenses</t>
  </si>
  <si>
    <t xml:space="preserve">   4000 Operating Expenses</t>
  </si>
  <si>
    <t xml:space="preserve">      4001-10 Staffing</t>
  </si>
  <si>
    <t xml:space="preserve">         4001-11 Operations Training</t>
  </si>
  <si>
    <t xml:space="preserve">         4001-3 Operator, VanRillaer, Keith</t>
  </si>
  <si>
    <t xml:space="preserve">         4001-4 Direct Deposit Charge (deleted)</t>
  </si>
  <si>
    <t xml:space="preserve">         4001-6 Payroll Tax</t>
  </si>
  <si>
    <t xml:space="preserve">         4001-7 Workers Comp</t>
  </si>
  <si>
    <t xml:space="preserve">         4001-9 Contract Operator-GCSD</t>
  </si>
  <si>
    <t xml:space="preserve">         4081-10 Mileage Reimbursement</t>
  </si>
  <si>
    <t xml:space="preserve">         4210-40 Employee Bonus</t>
  </si>
  <si>
    <t xml:space="preserve">      Total 4001-10 Staffing</t>
  </si>
  <si>
    <t xml:space="preserve">   Total 4000 Operating Expenses</t>
  </si>
  <si>
    <t xml:space="preserve">   4020 Admin</t>
  </si>
  <si>
    <t xml:space="preserve">      4020-10 Board of Directors Meeting</t>
  </si>
  <si>
    <t xml:space="preserve">      4020-11 Board &amp; Staff Training</t>
  </si>
  <si>
    <t xml:space="preserve">      4032-10 Liability Insurance</t>
  </si>
  <si>
    <t xml:space="preserve">      4040-10 Office Supplies</t>
  </si>
  <si>
    <t xml:space="preserve">      4040-11 Misc. Office -Printing &amp; Public Notices</t>
  </si>
  <si>
    <t xml:space="preserve">      4041-10 Freight, Shipping, Postage</t>
  </si>
  <si>
    <t xml:space="preserve">      4042-10 Office Rent</t>
  </si>
  <si>
    <t xml:space="preserve">      4090-11 Internet/Website/Email</t>
  </si>
  <si>
    <t xml:space="preserve">      4097-10 County Assessment Admin Fee</t>
  </si>
  <si>
    <t xml:space="preserve">      4160-10 Dues/Subscriptions/Software</t>
  </si>
  <si>
    <t xml:space="preserve">      4160-20 LAFCO</t>
  </si>
  <si>
    <t xml:space="preserve">   Total 4020 Admin</t>
  </si>
  <si>
    <t xml:space="preserve">   4055 Professional Services</t>
  </si>
  <si>
    <t xml:space="preserve">      4060-10 Accounting &amp; Bookkeeping</t>
  </si>
  <si>
    <t xml:space="preserve">      4060-11 Yearly Audit</t>
  </si>
  <si>
    <t xml:space="preserve">      4060-20 Legal</t>
  </si>
  <si>
    <t xml:space="preserve">      4060-30 Consulting Engineer</t>
  </si>
  <si>
    <t xml:space="preserve">      4060-40 Biologist Inspection</t>
  </si>
  <si>
    <t xml:space="preserve">   Total 4055 Professional Services</t>
  </si>
  <si>
    <t xml:space="preserve">   4070 Operations</t>
  </si>
  <si>
    <t xml:space="preserve">      4045-10 Operations Supplies</t>
  </si>
  <si>
    <t xml:space="preserve">      4045-20 PPEs/Safety Equipment</t>
  </si>
  <si>
    <t xml:space="preserve">      4045-30 Electrical Supplies</t>
  </si>
  <si>
    <t xml:space="preserve">      4045-40 Equipment Rental</t>
  </si>
  <si>
    <t xml:space="preserve">      4045-50 Drinking Water (deleted)</t>
  </si>
  <si>
    <t xml:space="preserve">      4045-60 County Trash Fees (deleted)</t>
  </si>
  <si>
    <t xml:space="preserve">      4047-10 Chemicals</t>
  </si>
  <si>
    <t xml:space="preserve">      4070-10 Repairs &amp; Maintenance</t>
  </si>
  <si>
    <t xml:space="preserve">      4070-20 Collection System R &amp; M</t>
  </si>
  <si>
    <t xml:space="preserve">      4070-30 Influent Meter (deleted)</t>
  </si>
  <si>
    <t xml:space="preserve">      4079-10 Lab Expense</t>
  </si>
  <si>
    <t xml:space="preserve">      4080-10 Bioassay-Lab Expense</t>
  </si>
  <si>
    <t xml:space="preserve">      4090-10 Utilities-Plant &amp; Lift Stations</t>
  </si>
  <si>
    <t xml:space="preserve">         4090-20 Electricity Plant-Getchull Gulch</t>
  </si>
  <si>
    <t xml:space="preserve">         4090-30 Electricity #2 Influent Meter</t>
  </si>
  <si>
    <t xml:space="preserve">         4090-40 Electricity #1 Lift Station</t>
  </si>
  <si>
    <t xml:space="preserve">         4090-50 Plant Telephone</t>
  </si>
  <si>
    <t xml:space="preserve">      Total 4090-10 Utilities-Plant &amp; Lift Stations</t>
  </si>
  <si>
    <t xml:space="preserve">      4096-10 Permits/Fees/Licenses</t>
  </si>
  <si>
    <t xml:space="preserve">   Total 4070 Operations</t>
  </si>
  <si>
    <t xml:space="preserve">   Payroll Expenses</t>
  </si>
  <si>
    <t xml:space="preserve">      Taxes</t>
  </si>
  <si>
    <t xml:space="preserve">   Total Payroll Expenses</t>
  </si>
  <si>
    <t>Total Expenses</t>
  </si>
  <si>
    <t>Net Operating Income</t>
  </si>
  <si>
    <t>Other Income</t>
  </si>
  <si>
    <t xml:space="preserve">   4100 Other Income</t>
  </si>
  <si>
    <t xml:space="preserve">      3020-10 Standby Fees/Capital Reserve Fees</t>
  </si>
  <si>
    <t xml:space="preserve">      3110 Interest Income</t>
  </si>
  <si>
    <t xml:space="preserve">      4100-30 USDA MH7 Reimbursement</t>
  </si>
  <si>
    <t xml:space="preserve">      4100-40 USDA Planning Grant</t>
  </si>
  <si>
    <t xml:space="preserve">   Total 4100 Other Income</t>
  </si>
  <si>
    <t>Total Other Income</t>
  </si>
  <si>
    <t>Other Expenses</t>
  </si>
  <si>
    <t xml:space="preserve">   4200 Other Expenses</t>
  </si>
  <si>
    <t xml:space="preserve">      4200-30 Bank and Finance charges</t>
  </si>
  <si>
    <t xml:space="preserve">   Total 4200 Other Expenses</t>
  </si>
  <si>
    <t xml:space="preserve">   4210 Non-Operating Expenses</t>
  </si>
  <si>
    <t xml:space="preserve">      4100-20 Reimbursible Grant Expenses</t>
  </si>
  <si>
    <t xml:space="preserve">      4210-10 Engineering (Orangeburg Replacement)</t>
  </si>
  <si>
    <t xml:space="preserve">   Total 4210 Non-Operating Expenses</t>
  </si>
  <si>
    <t>Total Other Expenses</t>
  </si>
  <si>
    <t>Net Other Income</t>
  </si>
  <si>
    <t>Net Income</t>
  </si>
  <si>
    <t>Monday, Jun 16, 2025 11:03:14 AM GMT-7 - Accrual Basis</t>
  </si>
  <si>
    <t>Mendocino County Wastewater District #2</t>
  </si>
  <si>
    <t xml:space="preserve">Budget vs. Actuals: Budget_FY2025_P&amp;L - FY25 P&amp;L </t>
  </si>
  <si>
    <t>July 2024 -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</si>
</sst>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tabSelected="1" topLeftCell="A61" workbookViewId="0">
      <selection activeCell="B80" sqref="B80"/>
    </sheetView>
  </sheetViews>
  <sheetFormatPr defaultRowHeight="14.5" x14ac:dyDescent="0.35"/>
  <cols>
    <col min="1" max="1" width="46.36328125" customWidth="1"/>
    <col min="2" max="5" width="17.1796875" customWidth="1"/>
  </cols>
  <sheetData>
    <row r="1" spans="1:5" ht="18" x14ac:dyDescent="0.4">
      <c r="A1" s="15" t="s">
        <v>95</v>
      </c>
      <c r="B1" s="14"/>
      <c r="C1" s="14"/>
      <c r="D1" s="14"/>
      <c r="E1" s="14"/>
    </row>
    <row r="2" spans="1:5" ht="18" x14ac:dyDescent="0.4">
      <c r="A2" s="15" t="s">
        <v>96</v>
      </c>
      <c r="B2" s="14"/>
      <c r="C2" s="14"/>
      <c r="D2" s="14"/>
      <c r="E2" s="14"/>
    </row>
    <row r="3" spans="1:5" x14ac:dyDescent="0.35">
      <c r="A3" s="16" t="s">
        <v>97</v>
      </c>
      <c r="B3" s="14"/>
      <c r="C3" s="14"/>
      <c r="D3" s="14"/>
      <c r="E3" s="14"/>
    </row>
    <row r="5" spans="1:5" x14ac:dyDescent="0.35">
      <c r="A5" s="1"/>
      <c r="B5" s="11" t="s">
        <v>0</v>
      </c>
      <c r="C5" s="12"/>
      <c r="D5" s="12"/>
      <c r="E5" s="12"/>
    </row>
    <row r="6" spans="1:5" x14ac:dyDescent="0.35">
      <c r="A6" s="1"/>
      <c r="B6" s="2" t="s">
        <v>1</v>
      </c>
      <c r="C6" s="2" t="s">
        <v>2</v>
      </c>
      <c r="D6" s="2" t="s">
        <v>3</v>
      </c>
      <c r="E6" s="2" t="s">
        <v>4</v>
      </c>
    </row>
    <row r="7" spans="1:5" x14ac:dyDescent="0.35">
      <c r="A7" s="3" t="s">
        <v>5</v>
      </c>
      <c r="B7" s="4"/>
      <c r="C7" s="4"/>
      <c r="D7" s="4"/>
      <c r="E7" s="4"/>
    </row>
    <row r="8" spans="1:5" x14ac:dyDescent="0.35">
      <c r="A8" s="3" t="s">
        <v>6</v>
      </c>
      <c r="B8" s="4"/>
      <c r="C8" s="4"/>
      <c r="D8" s="5">
        <f t="shared" ref="D8:D17" si="0">(B8)-(C8)</f>
        <v>0</v>
      </c>
      <c r="E8" s="6" t="str">
        <f t="shared" ref="E8:E17" si="1">IF(C8=0,"",(B8)/(C8))</f>
        <v/>
      </c>
    </row>
    <row r="9" spans="1:5" x14ac:dyDescent="0.35">
      <c r="A9" s="3" t="s">
        <v>7</v>
      </c>
      <c r="B9" s="4">
        <v>166240.74</v>
      </c>
      <c r="C9" s="4"/>
      <c r="D9" s="5">
        <f t="shared" si="0"/>
        <v>166240.74</v>
      </c>
      <c r="E9" s="6" t="str">
        <f t="shared" si="1"/>
        <v/>
      </c>
    </row>
    <row r="10" spans="1:5" x14ac:dyDescent="0.35">
      <c r="A10" s="3" t="s">
        <v>8</v>
      </c>
      <c r="B10" s="4"/>
      <c r="C10" s="5">
        <f>121281</f>
        <v>121281</v>
      </c>
      <c r="D10" s="5">
        <f t="shared" si="0"/>
        <v>-121281</v>
      </c>
      <c r="E10" s="6">
        <f t="shared" si="1"/>
        <v>0</v>
      </c>
    </row>
    <row r="11" spans="1:5" x14ac:dyDescent="0.35">
      <c r="A11" s="3" t="s">
        <v>9</v>
      </c>
      <c r="B11" s="4"/>
      <c r="C11" s="5">
        <f>41388</f>
        <v>41388</v>
      </c>
      <c r="D11" s="5">
        <f t="shared" si="0"/>
        <v>-41388</v>
      </c>
      <c r="E11" s="6">
        <f t="shared" si="1"/>
        <v>0</v>
      </c>
    </row>
    <row r="12" spans="1:5" x14ac:dyDescent="0.35">
      <c r="A12" s="3" t="s">
        <v>10</v>
      </c>
      <c r="B12" s="4"/>
      <c r="C12" s="5">
        <f>20019</f>
        <v>20019</v>
      </c>
      <c r="D12" s="5">
        <f t="shared" si="0"/>
        <v>-20019</v>
      </c>
      <c r="E12" s="6">
        <f t="shared" si="1"/>
        <v>0</v>
      </c>
    </row>
    <row r="13" spans="1:5" x14ac:dyDescent="0.35">
      <c r="A13" s="3" t="s">
        <v>11</v>
      </c>
      <c r="B13" s="4"/>
      <c r="C13" s="5">
        <f>0</f>
        <v>0</v>
      </c>
      <c r="D13" s="5">
        <f t="shared" si="0"/>
        <v>0</v>
      </c>
      <c r="E13" s="6" t="str">
        <f t="shared" si="1"/>
        <v/>
      </c>
    </row>
    <row r="14" spans="1:5" x14ac:dyDescent="0.35">
      <c r="A14" s="3" t="s">
        <v>12</v>
      </c>
      <c r="B14" s="7">
        <f>((((B9)+(B10))+(B11))+(B12))+(B13)</f>
        <v>166240.74</v>
      </c>
      <c r="C14" s="7">
        <f>((((C9)+(C10))+(C11))+(C12))+(C13)</f>
        <v>182688</v>
      </c>
      <c r="D14" s="7">
        <f t="shared" si="0"/>
        <v>-16447.260000000009</v>
      </c>
      <c r="E14" s="8">
        <f t="shared" si="1"/>
        <v>0.90997076983709924</v>
      </c>
    </row>
    <row r="15" spans="1:5" x14ac:dyDescent="0.35">
      <c r="A15" s="3" t="s">
        <v>13</v>
      </c>
      <c r="B15" s="7">
        <f>(B8)+(B14)</f>
        <v>166240.74</v>
      </c>
      <c r="C15" s="7">
        <f>(C8)+(C14)</f>
        <v>182688</v>
      </c>
      <c r="D15" s="7">
        <f t="shared" si="0"/>
        <v>-16447.260000000009</v>
      </c>
      <c r="E15" s="8">
        <f t="shared" si="1"/>
        <v>0.90997076983709924</v>
      </c>
    </row>
    <row r="16" spans="1:5" x14ac:dyDescent="0.35">
      <c r="A16" s="3" t="s">
        <v>14</v>
      </c>
      <c r="B16" s="7">
        <f>B15</f>
        <v>166240.74</v>
      </c>
      <c r="C16" s="7">
        <f>C15</f>
        <v>182688</v>
      </c>
      <c r="D16" s="7">
        <f t="shared" si="0"/>
        <v>-16447.260000000009</v>
      </c>
      <c r="E16" s="8">
        <f t="shared" si="1"/>
        <v>0.90997076983709924</v>
      </c>
    </row>
    <row r="17" spans="1:5" x14ac:dyDescent="0.35">
      <c r="A17" s="3" t="s">
        <v>15</v>
      </c>
      <c r="B17" s="7">
        <f>(B16)-(0)</f>
        <v>166240.74</v>
      </c>
      <c r="C17" s="7">
        <f>(C16)-(0)</f>
        <v>182688</v>
      </c>
      <c r="D17" s="7">
        <f t="shared" si="0"/>
        <v>-16447.260000000009</v>
      </c>
      <c r="E17" s="8">
        <f t="shared" si="1"/>
        <v>0.90997076983709924</v>
      </c>
    </row>
    <row r="18" spans="1:5" x14ac:dyDescent="0.35">
      <c r="A18" s="3" t="s">
        <v>16</v>
      </c>
      <c r="B18" s="4"/>
      <c r="C18" s="4"/>
      <c r="D18" s="4"/>
      <c r="E18" s="4"/>
    </row>
    <row r="19" spans="1:5" x14ac:dyDescent="0.35">
      <c r="A19" s="3" t="s">
        <v>17</v>
      </c>
      <c r="B19" s="4"/>
      <c r="C19" s="4"/>
      <c r="D19" s="5">
        <f t="shared" ref="D19:D50" si="2">(B19)-(C19)</f>
        <v>0</v>
      </c>
      <c r="E19" s="6" t="str">
        <f t="shared" ref="E19:E50" si="3">IF(C19=0,"",(B19)/(C19))</f>
        <v/>
      </c>
    </row>
    <row r="20" spans="1:5" x14ac:dyDescent="0.35">
      <c r="A20" s="3" t="s">
        <v>18</v>
      </c>
      <c r="B20" s="4"/>
      <c r="C20" s="4"/>
      <c r="D20" s="5">
        <f t="shared" si="2"/>
        <v>0</v>
      </c>
      <c r="E20" s="6" t="str">
        <f t="shared" si="3"/>
        <v/>
      </c>
    </row>
    <row r="21" spans="1:5" x14ac:dyDescent="0.35">
      <c r="A21" s="3" t="s">
        <v>19</v>
      </c>
      <c r="B21" s="4"/>
      <c r="C21" s="5">
        <f>250</f>
        <v>250</v>
      </c>
      <c r="D21" s="5">
        <f t="shared" si="2"/>
        <v>-250</v>
      </c>
      <c r="E21" s="6">
        <f t="shared" si="3"/>
        <v>0</v>
      </c>
    </row>
    <row r="22" spans="1:5" x14ac:dyDescent="0.35">
      <c r="A22" s="3" t="s">
        <v>20</v>
      </c>
      <c r="B22" s="5">
        <f>29590</f>
        <v>29590</v>
      </c>
      <c r="C22" s="5">
        <f>32280</f>
        <v>32280</v>
      </c>
      <c r="D22" s="5">
        <f t="shared" si="2"/>
        <v>-2690</v>
      </c>
      <c r="E22" s="6">
        <f t="shared" si="3"/>
        <v>0.91666666666666663</v>
      </c>
    </row>
    <row r="23" spans="1:5" x14ac:dyDescent="0.35">
      <c r="A23" s="3" t="s">
        <v>21</v>
      </c>
      <c r="B23" s="4"/>
      <c r="C23" s="5">
        <f>150</f>
        <v>150</v>
      </c>
      <c r="D23" s="5">
        <f t="shared" si="2"/>
        <v>-150</v>
      </c>
      <c r="E23" s="6">
        <f t="shared" si="3"/>
        <v>0</v>
      </c>
    </row>
    <row r="24" spans="1:5" x14ac:dyDescent="0.35">
      <c r="A24" s="3" t="s">
        <v>22</v>
      </c>
      <c r="B24" s="5">
        <f>210.74</f>
        <v>210.74</v>
      </c>
      <c r="C24" s="5">
        <f>7200</f>
        <v>7200</v>
      </c>
      <c r="D24" s="5">
        <f t="shared" si="2"/>
        <v>-6989.26</v>
      </c>
      <c r="E24" s="6">
        <f t="shared" si="3"/>
        <v>2.9269444444444445E-2</v>
      </c>
    </row>
    <row r="25" spans="1:5" x14ac:dyDescent="0.35">
      <c r="A25" s="3" t="s">
        <v>23</v>
      </c>
      <c r="B25" s="5">
        <f>1746.3</f>
        <v>1746.3</v>
      </c>
      <c r="C25" s="5">
        <f>2200</f>
        <v>2200</v>
      </c>
      <c r="D25" s="5">
        <f t="shared" si="2"/>
        <v>-453.70000000000005</v>
      </c>
      <c r="E25" s="6">
        <f t="shared" si="3"/>
        <v>0.7937727272727273</v>
      </c>
    </row>
    <row r="26" spans="1:5" x14ac:dyDescent="0.35">
      <c r="A26" s="3" t="s">
        <v>24</v>
      </c>
      <c r="B26" s="5">
        <f>34183.48</f>
        <v>34183.480000000003</v>
      </c>
      <c r="C26" s="5">
        <f>38525</f>
        <v>38525</v>
      </c>
      <c r="D26" s="5">
        <f t="shared" si="2"/>
        <v>-4341.5199999999968</v>
      </c>
      <c r="E26" s="6">
        <f t="shared" si="3"/>
        <v>0.8873064243997405</v>
      </c>
    </row>
    <row r="27" spans="1:5" x14ac:dyDescent="0.35">
      <c r="A27" s="3" t="s">
        <v>25</v>
      </c>
      <c r="B27" s="5">
        <f>1800</f>
        <v>1800</v>
      </c>
      <c r="C27" s="5">
        <f>1200</f>
        <v>1200</v>
      </c>
      <c r="D27" s="5">
        <f t="shared" si="2"/>
        <v>600</v>
      </c>
      <c r="E27" s="6">
        <f t="shared" si="3"/>
        <v>1.5</v>
      </c>
    </row>
    <row r="28" spans="1:5" x14ac:dyDescent="0.35">
      <c r="A28" s="3" t="s">
        <v>26</v>
      </c>
      <c r="B28" s="5">
        <f>500</f>
        <v>500</v>
      </c>
      <c r="C28" s="5">
        <f>500</f>
        <v>500</v>
      </c>
      <c r="D28" s="5">
        <f t="shared" si="2"/>
        <v>0</v>
      </c>
      <c r="E28" s="6">
        <f t="shared" si="3"/>
        <v>1</v>
      </c>
    </row>
    <row r="29" spans="1:5" x14ac:dyDescent="0.35">
      <c r="A29" s="3" t="s">
        <v>27</v>
      </c>
      <c r="B29" s="7">
        <f>((((((((B20)+(B21))+(B22))+(B23))+(B24))+(B25))+(B26))+(B27))+(B28)</f>
        <v>68030.52</v>
      </c>
      <c r="C29" s="7">
        <f>((((((((C20)+(C21))+(C22))+(C23))+(C24))+(C25))+(C26))+(C27))+(C28)</f>
        <v>82305</v>
      </c>
      <c r="D29" s="7">
        <f t="shared" si="2"/>
        <v>-14274.479999999996</v>
      </c>
      <c r="E29" s="8">
        <f t="shared" si="3"/>
        <v>0.82656606524512488</v>
      </c>
    </row>
    <row r="30" spans="1:5" x14ac:dyDescent="0.35">
      <c r="A30" s="3" t="s">
        <v>28</v>
      </c>
      <c r="B30" s="7">
        <f>(B19)+(B29)</f>
        <v>68030.52</v>
      </c>
      <c r="C30" s="7">
        <f>(C19)+(C29)</f>
        <v>82305</v>
      </c>
      <c r="D30" s="7">
        <f t="shared" si="2"/>
        <v>-14274.479999999996</v>
      </c>
      <c r="E30" s="8">
        <f t="shared" si="3"/>
        <v>0.82656606524512488</v>
      </c>
    </row>
    <row r="31" spans="1:5" x14ac:dyDescent="0.35">
      <c r="A31" s="3" t="s">
        <v>29</v>
      </c>
      <c r="B31" s="4"/>
      <c r="C31" s="4"/>
      <c r="D31" s="5">
        <f t="shared" si="2"/>
        <v>0</v>
      </c>
      <c r="E31" s="6" t="str">
        <f t="shared" si="3"/>
        <v/>
      </c>
    </row>
    <row r="32" spans="1:5" x14ac:dyDescent="0.35">
      <c r="A32" s="3" t="s">
        <v>30</v>
      </c>
      <c r="B32" s="5">
        <f>984.82</f>
        <v>984.82</v>
      </c>
      <c r="C32" s="5">
        <f>500</f>
        <v>500</v>
      </c>
      <c r="D32" s="5">
        <f t="shared" si="2"/>
        <v>484.82000000000005</v>
      </c>
      <c r="E32" s="6">
        <f t="shared" si="3"/>
        <v>1.9696400000000001</v>
      </c>
    </row>
    <row r="33" spans="1:5" x14ac:dyDescent="0.35">
      <c r="A33" s="3" t="s">
        <v>31</v>
      </c>
      <c r="B33" s="5">
        <f>660.49</f>
        <v>660.49</v>
      </c>
      <c r="C33" s="5">
        <f>1500</f>
        <v>1500</v>
      </c>
      <c r="D33" s="5">
        <f t="shared" si="2"/>
        <v>-839.51</v>
      </c>
      <c r="E33" s="6">
        <f t="shared" si="3"/>
        <v>0.4403266666666667</v>
      </c>
    </row>
    <row r="34" spans="1:5" x14ac:dyDescent="0.35">
      <c r="A34" s="3" t="s">
        <v>32</v>
      </c>
      <c r="B34" s="5">
        <f>8758.23</f>
        <v>8758.23</v>
      </c>
      <c r="C34" s="5">
        <f>9015</f>
        <v>9015</v>
      </c>
      <c r="D34" s="5">
        <f t="shared" si="2"/>
        <v>-256.77000000000044</v>
      </c>
      <c r="E34" s="6">
        <f t="shared" si="3"/>
        <v>0.97151747088186347</v>
      </c>
    </row>
    <row r="35" spans="1:5" x14ac:dyDescent="0.35">
      <c r="A35" s="3" t="s">
        <v>33</v>
      </c>
      <c r="B35" s="5">
        <f>75.19</f>
        <v>75.19</v>
      </c>
      <c r="C35" s="5">
        <f>1109</f>
        <v>1109</v>
      </c>
      <c r="D35" s="5">
        <f t="shared" si="2"/>
        <v>-1033.81</v>
      </c>
      <c r="E35" s="6">
        <f t="shared" si="3"/>
        <v>6.7799819657348964E-2</v>
      </c>
    </row>
    <row r="36" spans="1:5" x14ac:dyDescent="0.35">
      <c r="A36" s="3" t="s">
        <v>34</v>
      </c>
      <c r="B36" s="5">
        <f>8</f>
        <v>8</v>
      </c>
      <c r="C36" s="5">
        <f>500</f>
        <v>500</v>
      </c>
      <c r="D36" s="5">
        <f t="shared" si="2"/>
        <v>-492</v>
      </c>
      <c r="E36" s="6">
        <f t="shared" si="3"/>
        <v>1.6E-2</v>
      </c>
    </row>
    <row r="37" spans="1:5" x14ac:dyDescent="0.35">
      <c r="A37" s="3" t="s">
        <v>35</v>
      </c>
      <c r="B37" s="5">
        <f>72</f>
        <v>72</v>
      </c>
      <c r="C37" s="5">
        <f>500</f>
        <v>500</v>
      </c>
      <c r="D37" s="5">
        <f t="shared" si="2"/>
        <v>-428</v>
      </c>
      <c r="E37" s="6">
        <f t="shared" si="3"/>
        <v>0.14399999999999999</v>
      </c>
    </row>
    <row r="38" spans="1:5" x14ac:dyDescent="0.35">
      <c r="A38" s="3" t="s">
        <v>36</v>
      </c>
      <c r="B38" s="5">
        <f>3092</f>
        <v>3092</v>
      </c>
      <c r="C38" s="5">
        <f>3150</f>
        <v>3150</v>
      </c>
      <c r="D38" s="5">
        <f t="shared" si="2"/>
        <v>-58</v>
      </c>
      <c r="E38" s="6">
        <f t="shared" si="3"/>
        <v>0.98158730158730156</v>
      </c>
    </row>
    <row r="39" spans="1:5" x14ac:dyDescent="0.35">
      <c r="A39" s="3" t="s">
        <v>37</v>
      </c>
      <c r="B39" s="5">
        <f>3197.45</f>
        <v>3197.45</v>
      </c>
      <c r="C39" s="5">
        <f>1776</f>
        <v>1776</v>
      </c>
      <c r="D39" s="5">
        <f t="shared" si="2"/>
        <v>1421.4499999999998</v>
      </c>
      <c r="E39" s="6">
        <f t="shared" si="3"/>
        <v>1.8003659909909908</v>
      </c>
    </row>
    <row r="40" spans="1:5" x14ac:dyDescent="0.35">
      <c r="A40" s="3" t="s">
        <v>38</v>
      </c>
      <c r="B40" s="5">
        <f>2385.18</f>
        <v>2385.1799999999998</v>
      </c>
      <c r="C40" s="5">
        <f>3937.56</f>
        <v>3937.56</v>
      </c>
      <c r="D40" s="5">
        <f t="shared" si="2"/>
        <v>-1552.38</v>
      </c>
      <c r="E40" s="6">
        <f t="shared" si="3"/>
        <v>0.60575076951208362</v>
      </c>
    </row>
    <row r="41" spans="1:5" x14ac:dyDescent="0.35">
      <c r="A41" s="3" t="s">
        <v>39</v>
      </c>
      <c r="B41" s="5">
        <f>2676.5</f>
        <v>2676.5</v>
      </c>
      <c r="C41" s="5">
        <f>1955</f>
        <v>1955</v>
      </c>
      <c r="D41" s="5">
        <f t="shared" si="2"/>
        <v>721.5</v>
      </c>
      <c r="E41" s="6">
        <f t="shared" si="3"/>
        <v>1.3690537084398977</v>
      </c>
    </row>
    <row r="42" spans="1:5" x14ac:dyDescent="0.35">
      <c r="A42" s="3" t="s">
        <v>40</v>
      </c>
      <c r="B42" s="5">
        <f>423.96</f>
        <v>423.96</v>
      </c>
      <c r="C42" s="5">
        <f>2000</f>
        <v>2000</v>
      </c>
      <c r="D42" s="5">
        <f t="shared" si="2"/>
        <v>-1576.04</v>
      </c>
      <c r="E42" s="6">
        <f t="shared" si="3"/>
        <v>0.21198</v>
      </c>
    </row>
    <row r="43" spans="1:5" x14ac:dyDescent="0.35">
      <c r="A43" s="3" t="s">
        <v>41</v>
      </c>
      <c r="B43" s="7">
        <f>(((((((((((B31)+(B32))+(B33))+(B34))+(B35))+(B36))+(B37))+(B38))+(B39))+(B40))+(B41))+(B42)</f>
        <v>22333.82</v>
      </c>
      <c r="C43" s="7">
        <f>(((((((((((C31)+(C32))+(C33))+(C34))+(C35))+(C36))+(C37))+(C38))+(C39))+(C40))+(C41))+(C42)</f>
        <v>25942.560000000001</v>
      </c>
      <c r="D43" s="7">
        <f t="shared" si="2"/>
        <v>-3608.7400000000016</v>
      </c>
      <c r="E43" s="8">
        <f t="shared" si="3"/>
        <v>0.86089499262987146</v>
      </c>
    </row>
    <row r="44" spans="1:5" x14ac:dyDescent="0.35">
      <c r="A44" s="3" t="s">
        <v>42</v>
      </c>
      <c r="B44" s="4"/>
      <c r="C44" s="4"/>
      <c r="D44" s="5">
        <f t="shared" si="2"/>
        <v>0</v>
      </c>
      <c r="E44" s="6" t="str">
        <f t="shared" si="3"/>
        <v/>
      </c>
    </row>
    <row r="45" spans="1:5" x14ac:dyDescent="0.35">
      <c r="A45" s="3" t="s">
        <v>43</v>
      </c>
      <c r="B45" s="4"/>
      <c r="C45" s="5">
        <f>2016</f>
        <v>2016</v>
      </c>
      <c r="D45" s="5">
        <f t="shared" si="2"/>
        <v>-2016</v>
      </c>
      <c r="E45" s="6">
        <f t="shared" si="3"/>
        <v>0</v>
      </c>
    </row>
    <row r="46" spans="1:5" x14ac:dyDescent="0.35">
      <c r="A46" s="3" t="s">
        <v>44</v>
      </c>
      <c r="B46" s="5">
        <f>5550</f>
        <v>5550</v>
      </c>
      <c r="C46" s="5">
        <f>5771</f>
        <v>5771</v>
      </c>
      <c r="D46" s="5">
        <f t="shared" si="2"/>
        <v>-221</v>
      </c>
      <c r="E46" s="6">
        <f t="shared" si="3"/>
        <v>0.96170507710968633</v>
      </c>
    </row>
    <row r="47" spans="1:5" x14ac:dyDescent="0.35">
      <c r="A47" s="3" t="s">
        <v>45</v>
      </c>
      <c r="B47" s="5">
        <f>20348</f>
        <v>20348</v>
      </c>
      <c r="C47" s="5">
        <f>35000</f>
        <v>35000</v>
      </c>
      <c r="D47" s="5">
        <f t="shared" si="2"/>
        <v>-14652</v>
      </c>
      <c r="E47" s="6">
        <f t="shared" si="3"/>
        <v>0.58137142857142854</v>
      </c>
    </row>
    <row r="48" spans="1:5" x14ac:dyDescent="0.35">
      <c r="A48" s="3" t="s">
        <v>46</v>
      </c>
      <c r="B48" s="4"/>
      <c r="C48" s="5">
        <f>6000</f>
        <v>6000</v>
      </c>
      <c r="D48" s="5">
        <f t="shared" si="2"/>
        <v>-6000</v>
      </c>
      <c r="E48" s="6">
        <f t="shared" si="3"/>
        <v>0</v>
      </c>
    </row>
    <row r="49" spans="1:5" x14ac:dyDescent="0.35">
      <c r="A49" s="3" t="s">
        <v>47</v>
      </c>
      <c r="B49" s="4"/>
      <c r="C49" s="5">
        <f>0</f>
        <v>0</v>
      </c>
      <c r="D49" s="5">
        <f t="shared" si="2"/>
        <v>0</v>
      </c>
      <c r="E49" s="6" t="str">
        <f t="shared" si="3"/>
        <v/>
      </c>
    </row>
    <row r="50" spans="1:5" x14ac:dyDescent="0.35">
      <c r="A50" s="3" t="s">
        <v>48</v>
      </c>
      <c r="B50" s="7">
        <f>(((((B44)+(B45))+(B46))+(B47))+(B48))+(B49)</f>
        <v>25898</v>
      </c>
      <c r="C50" s="7">
        <f>(((((C44)+(C45))+(C46))+(C47))+(C48))+(C49)</f>
        <v>48787</v>
      </c>
      <c r="D50" s="7">
        <f t="shared" si="2"/>
        <v>-22889</v>
      </c>
      <c r="E50" s="8">
        <f t="shared" si="3"/>
        <v>0.53083813310922989</v>
      </c>
    </row>
    <row r="51" spans="1:5" x14ac:dyDescent="0.35">
      <c r="A51" s="3" t="s">
        <v>49</v>
      </c>
      <c r="B51" s="4"/>
      <c r="C51" s="4"/>
      <c r="D51" s="5">
        <f t="shared" ref="D51:D82" si="4">(B51)-(C51)</f>
        <v>0</v>
      </c>
      <c r="E51" s="6" t="str">
        <f t="shared" ref="E51:E76" si="5">IF(C51=0,"",(B51)/(C51))</f>
        <v/>
      </c>
    </row>
    <row r="52" spans="1:5" x14ac:dyDescent="0.35">
      <c r="A52" s="3" t="s">
        <v>50</v>
      </c>
      <c r="B52" s="5">
        <f>2644.53</f>
        <v>2644.53</v>
      </c>
      <c r="C52" s="5">
        <f>3566</f>
        <v>3566</v>
      </c>
      <c r="D52" s="5">
        <f t="shared" si="4"/>
        <v>-921.4699999999998</v>
      </c>
      <c r="E52" s="6">
        <f t="shared" si="5"/>
        <v>0.74159562535053292</v>
      </c>
    </row>
    <row r="53" spans="1:5" x14ac:dyDescent="0.35">
      <c r="A53" s="3" t="s">
        <v>51</v>
      </c>
      <c r="B53" s="5">
        <f>662.82</f>
        <v>662.82</v>
      </c>
      <c r="C53" s="5">
        <f>0</f>
        <v>0</v>
      </c>
      <c r="D53" s="5">
        <f t="shared" si="4"/>
        <v>662.82</v>
      </c>
      <c r="E53" s="6" t="str">
        <f t="shared" si="5"/>
        <v/>
      </c>
    </row>
    <row r="54" spans="1:5" x14ac:dyDescent="0.35">
      <c r="A54" s="3" t="s">
        <v>52</v>
      </c>
      <c r="B54" s="4"/>
      <c r="C54" s="5">
        <f>500</f>
        <v>500</v>
      </c>
      <c r="D54" s="5">
        <f t="shared" si="4"/>
        <v>-500</v>
      </c>
      <c r="E54" s="6">
        <f t="shared" si="5"/>
        <v>0</v>
      </c>
    </row>
    <row r="55" spans="1:5" x14ac:dyDescent="0.35">
      <c r="A55" s="3" t="s">
        <v>53</v>
      </c>
      <c r="B55" s="5">
        <f>160.21</f>
        <v>160.21</v>
      </c>
      <c r="C55" s="5">
        <f>500</f>
        <v>500</v>
      </c>
      <c r="D55" s="5">
        <f t="shared" si="4"/>
        <v>-339.78999999999996</v>
      </c>
      <c r="E55" s="6">
        <f t="shared" si="5"/>
        <v>0.32042000000000004</v>
      </c>
    </row>
    <row r="56" spans="1:5" x14ac:dyDescent="0.35">
      <c r="A56" s="3" t="s">
        <v>54</v>
      </c>
      <c r="B56" s="4"/>
      <c r="C56" s="5">
        <f>2000</f>
        <v>2000</v>
      </c>
      <c r="D56" s="5">
        <f t="shared" si="4"/>
        <v>-2000</v>
      </c>
      <c r="E56" s="6">
        <f t="shared" si="5"/>
        <v>0</v>
      </c>
    </row>
    <row r="57" spans="1:5" x14ac:dyDescent="0.35">
      <c r="A57" s="3" t="s">
        <v>55</v>
      </c>
      <c r="B57" s="4"/>
      <c r="C57" s="5">
        <f>200</f>
        <v>200</v>
      </c>
      <c r="D57" s="5">
        <f t="shared" si="4"/>
        <v>-200</v>
      </c>
      <c r="E57" s="6">
        <f t="shared" si="5"/>
        <v>0</v>
      </c>
    </row>
    <row r="58" spans="1:5" x14ac:dyDescent="0.35">
      <c r="A58" s="3" t="s">
        <v>56</v>
      </c>
      <c r="B58" s="5">
        <f>1492.42</f>
        <v>1492.42</v>
      </c>
      <c r="C58" s="5">
        <f>4826</f>
        <v>4826</v>
      </c>
      <c r="D58" s="5">
        <f t="shared" si="4"/>
        <v>-3333.58</v>
      </c>
      <c r="E58" s="6">
        <f t="shared" si="5"/>
        <v>0.30924575217571487</v>
      </c>
    </row>
    <row r="59" spans="1:5" x14ac:dyDescent="0.35">
      <c r="A59" s="3" t="s">
        <v>57</v>
      </c>
      <c r="B59" s="5">
        <f>14817.39</f>
        <v>14817.39</v>
      </c>
      <c r="C59" s="5">
        <f>8496</f>
        <v>8496</v>
      </c>
      <c r="D59" s="5">
        <f t="shared" si="4"/>
        <v>6321.3899999999994</v>
      </c>
      <c r="E59" s="6">
        <f t="shared" si="5"/>
        <v>1.7440430790960451</v>
      </c>
    </row>
    <row r="60" spans="1:5" x14ac:dyDescent="0.35">
      <c r="A60" s="3" t="s">
        <v>58</v>
      </c>
      <c r="B60" s="4"/>
      <c r="C60" s="5">
        <f>2000</f>
        <v>2000</v>
      </c>
      <c r="D60" s="5">
        <f t="shared" si="4"/>
        <v>-2000</v>
      </c>
      <c r="E60" s="6">
        <f t="shared" si="5"/>
        <v>0</v>
      </c>
    </row>
    <row r="61" spans="1:5" x14ac:dyDescent="0.35">
      <c r="A61" s="3" t="s">
        <v>59</v>
      </c>
      <c r="B61" s="4"/>
      <c r="C61" s="5">
        <f>2000</f>
        <v>2000</v>
      </c>
      <c r="D61" s="5">
        <f t="shared" si="4"/>
        <v>-2000</v>
      </c>
      <c r="E61" s="6">
        <f t="shared" si="5"/>
        <v>0</v>
      </c>
    </row>
    <row r="62" spans="1:5" x14ac:dyDescent="0.35">
      <c r="A62" s="3" t="s">
        <v>60</v>
      </c>
      <c r="B62" s="5">
        <f>16873</f>
        <v>16873</v>
      </c>
      <c r="C62" s="5">
        <f>8253</f>
        <v>8253</v>
      </c>
      <c r="D62" s="5">
        <f t="shared" si="4"/>
        <v>8620</v>
      </c>
      <c r="E62" s="6">
        <f t="shared" si="5"/>
        <v>2.0444686780564645</v>
      </c>
    </row>
    <row r="63" spans="1:5" x14ac:dyDescent="0.35">
      <c r="A63" s="3" t="s">
        <v>61</v>
      </c>
      <c r="B63" s="5">
        <f>655.72</f>
        <v>655.72</v>
      </c>
      <c r="C63" s="5">
        <f>0</f>
        <v>0</v>
      </c>
      <c r="D63" s="5">
        <f t="shared" si="4"/>
        <v>655.72</v>
      </c>
      <c r="E63" s="6" t="str">
        <f t="shared" si="5"/>
        <v/>
      </c>
    </row>
    <row r="64" spans="1:5" x14ac:dyDescent="0.35">
      <c r="A64" s="3" t="s">
        <v>62</v>
      </c>
      <c r="B64" s="5">
        <f>87.27</f>
        <v>87.27</v>
      </c>
      <c r="C64" s="4"/>
      <c r="D64" s="5">
        <f t="shared" si="4"/>
        <v>87.27</v>
      </c>
      <c r="E64" s="6" t="str">
        <f t="shared" si="5"/>
        <v/>
      </c>
    </row>
    <row r="65" spans="1:5" x14ac:dyDescent="0.35">
      <c r="A65" s="3" t="s">
        <v>63</v>
      </c>
      <c r="B65" s="5">
        <f>8403.81</f>
        <v>8403.81</v>
      </c>
      <c r="C65" s="5">
        <f>10179</f>
        <v>10179</v>
      </c>
      <c r="D65" s="5">
        <f t="shared" si="4"/>
        <v>-1775.1900000000005</v>
      </c>
      <c r="E65" s="6">
        <f t="shared" si="5"/>
        <v>0.82560271146478037</v>
      </c>
    </row>
    <row r="66" spans="1:5" x14ac:dyDescent="0.35">
      <c r="A66" s="3" t="s">
        <v>64</v>
      </c>
      <c r="B66" s="5">
        <f>1544.69</f>
        <v>1544.69</v>
      </c>
      <c r="C66" s="5">
        <f>1440</f>
        <v>1440</v>
      </c>
      <c r="D66" s="5">
        <f t="shared" si="4"/>
        <v>104.69000000000005</v>
      </c>
      <c r="E66" s="6">
        <f t="shared" si="5"/>
        <v>1.072701388888889</v>
      </c>
    </row>
    <row r="67" spans="1:5" x14ac:dyDescent="0.35">
      <c r="A67" s="3" t="s">
        <v>65</v>
      </c>
      <c r="B67" s="5">
        <f>297.23</f>
        <v>297.23</v>
      </c>
      <c r="C67" s="5">
        <f>1080</f>
        <v>1080</v>
      </c>
      <c r="D67" s="5">
        <f t="shared" si="4"/>
        <v>-782.77</v>
      </c>
      <c r="E67" s="6">
        <f t="shared" si="5"/>
        <v>0.27521296296296299</v>
      </c>
    </row>
    <row r="68" spans="1:5" x14ac:dyDescent="0.35">
      <c r="A68" s="3" t="s">
        <v>66</v>
      </c>
      <c r="B68" s="5">
        <f>1441.7</f>
        <v>1441.7</v>
      </c>
      <c r="C68" s="4"/>
      <c r="D68" s="5">
        <f t="shared" si="4"/>
        <v>1441.7</v>
      </c>
      <c r="E68" s="6" t="str">
        <f t="shared" si="5"/>
        <v/>
      </c>
    </row>
    <row r="69" spans="1:5" x14ac:dyDescent="0.35">
      <c r="A69" s="3" t="s">
        <v>67</v>
      </c>
      <c r="B69" s="7">
        <f>((((B64)+(B65))+(B66))+(B67))+(B68)</f>
        <v>11774.7</v>
      </c>
      <c r="C69" s="7">
        <f>((((C64)+(C65))+(C66))+(C67))+(C68)</f>
        <v>12699</v>
      </c>
      <c r="D69" s="7">
        <f t="shared" si="4"/>
        <v>-924.29999999999927</v>
      </c>
      <c r="E69" s="8">
        <f t="shared" si="5"/>
        <v>0.92721474131821413</v>
      </c>
    </row>
    <row r="70" spans="1:5" x14ac:dyDescent="0.35">
      <c r="A70" s="3" t="s">
        <v>68</v>
      </c>
      <c r="B70" s="5">
        <f>13857.5</f>
        <v>13857.5</v>
      </c>
      <c r="C70" s="4"/>
      <c r="D70" s="5">
        <f t="shared" si="4"/>
        <v>13857.5</v>
      </c>
      <c r="E70" s="6" t="str">
        <f t="shared" si="5"/>
        <v/>
      </c>
    </row>
    <row r="71" spans="1:5" x14ac:dyDescent="0.35">
      <c r="A71" s="3" t="s">
        <v>69</v>
      </c>
      <c r="B71" s="7">
        <f>((((((((((((((B51)+(B52))+(B53))+(B54))+(B55))+(B56))+(B57))+(B58))+(B59))+(B60))+(B61))+(B62))+(B63))+(B69))+(B70)</f>
        <v>62938.289999999994</v>
      </c>
      <c r="C71" s="7">
        <f>((((((((((((((C51)+(C52))+(C53))+(C54))+(C55))+(C56))+(C57))+(C58))+(C59))+(C60))+(C61))+(C62))+(C63))+(C69))+(C70)</f>
        <v>45040</v>
      </c>
      <c r="D71" s="7">
        <f t="shared" si="4"/>
        <v>17898.289999999994</v>
      </c>
      <c r="E71" s="8">
        <f t="shared" si="5"/>
        <v>1.3973865452930727</v>
      </c>
    </row>
    <row r="72" spans="1:5" x14ac:dyDescent="0.35">
      <c r="A72" s="3" t="s">
        <v>70</v>
      </c>
      <c r="B72" s="4"/>
      <c r="C72" s="4"/>
      <c r="D72" s="5">
        <f t="shared" si="4"/>
        <v>0</v>
      </c>
      <c r="E72" s="6" t="str">
        <f t="shared" si="5"/>
        <v/>
      </c>
    </row>
    <row r="73" spans="1:5" x14ac:dyDescent="0.35">
      <c r="A73" s="3" t="s">
        <v>71</v>
      </c>
      <c r="B73" s="5">
        <f>2417.69</f>
        <v>2417.69</v>
      </c>
      <c r="C73" s="4"/>
      <c r="D73" s="5">
        <f t="shared" si="4"/>
        <v>2417.69</v>
      </c>
      <c r="E73" s="6" t="str">
        <f t="shared" si="5"/>
        <v/>
      </c>
    </row>
    <row r="74" spans="1:5" x14ac:dyDescent="0.35">
      <c r="A74" s="3" t="s">
        <v>72</v>
      </c>
      <c r="B74" s="7">
        <f>(B72)+(B73)</f>
        <v>2417.69</v>
      </c>
      <c r="C74" s="7">
        <f>(C72)+(C73)</f>
        <v>0</v>
      </c>
      <c r="D74" s="7">
        <f t="shared" si="4"/>
        <v>2417.69</v>
      </c>
      <c r="E74" s="8" t="str">
        <f t="shared" si="5"/>
        <v/>
      </c>
    </row>
    <row r="75" spans="1:5" x14ac:dyDescent="0.35">
      <c r="A75" s="3" t="s">
        <v>73</v>
      </c>
      <c r="B75" s="7">
        <f>((((B30)+(B43))+(B50))+(B71))+(B74)</f>
        <v>181618.32</v>
      </c>
      <c r="C75" s="7">
        <f>((((C30)+(C43))+(C50))+(C71))+(C74)</f>
        <v>202074.56</v>
      </c>
      <c r="D75" s="7">
        <f t="shared" si="4"/>
        <v>-20456.239999999991</v>
      </c>
      <c r="E75" s="8">
        <f t="shared" si="5"/>
        <v>0.89876885046786692</v>
      </c>
    </row>
    <row r="76" spans="1:5" x14ac:dyDescent="0.35">
      <c r="A76" s="3" t="s">
        <v>74</v>
      </c>
      <c r="B76" s="7">
        <f>(B17)-(B75)</f>
        <v>-15377.580000000016</v>
      </c>
      <c r="C76" s="7">
        <f>(C17)-(C75)</f>
        <v>-19386.559999999998</v>
      </c>
      <c r="D76" s="7">
        <f t="shared" si="4"/>
        <v>4008.9799999999814</v>
      </c>
      <c r="E76" s="8">
        <f t="shared" si="5"/>
        <v>0.793208284502254</v>
      </c>
    </row>
    <row r="77" spans="1:5" x14ac:dyDescent="0.35">
      <c r="A77" s="3" t="s">
        <v>75</v>
      </c>
      <c r="B77" s="4"/>
      <c r="C77" s="4"/>
      <c r="D77" s="4"/>
      <c r="E77" s="4"/>
    </row>
    <row r="78" spans="1:5" x14ac:dyDescent="0.35">
      <c r="A78" s="3" t="s">
        <v>76</v>
      </c>
      <c r="B78" s="4"/>
      <c r="C78" s="4"/>
      <c r="D78" s="5">
        <f t="shared" ref="D78:D84" si="6">(B78)-(C78)</f>
        <v>0</v>
      </c>
      <c r="E78" s="6" t="str">
        <f t="shared" ref="E78:E84" si="7">IF(C78=0,"",(B78)/(C78))</f>
        <v/>
      </c>
    </row>
    <row r="79" spans="1:5" x14ac:dyDescent="0.35">
      <c r="A79" s="3" t="s">
        <v>77</v>
      </c>
      <c r="B79" s="4">
        <v>12531.75</v>
      </c>
      <c r="C79" s="5">
        <f>14190</f>
        <v>14190</v>
      </c>
      <c r="D79" s="5">
        <f t="shared" si="6"/>
        <v>-1658.25</v>
      </c>
      <c r="E79" s="6">
        <f t="shared" si="7"/>
        <v>0.88313953488372088</v>
      </c>
    </row>
    <row r="80" spans="1:5" x14ac:dyDescent="0.35">
      <c r="A80" s="3" t="s">
        <v>78</v>
      </c>
      <c r="B80" s="5">
        <f>9086.7</f>
        <v>9086.7000000000007</v>
      </c>
      <c r="C80" s="4"/>
      <c r="D80" s="5">
        <f t="shared" si="6"/>
        <v>9086.7000000000007</v>
      </c>
      <c r="E80" s="6" t="str">
        <f t="shared" si="7"/>
        <v/>
      </c>
    </row>
    <row r="81" spans="1:5" x14ac:dyDescent="0.35">
      <c r="A81" s="3" t="s">
        <v>79</v>
      </c>
      <c r="B81" s="4"/>
      <c r="C81" s="5">
        <f>0</f>
        <v>0</v>
      </c>
      <c r="D81" s="5">
        <f t="shared" si="6"/>
        <v>0</v>
      </c>
      <c r="E81" s="6" t="str">
        <f t="shared" si="7"/>
        <v/>
      </c>
    </row>
    <row r="82" spans="1:5" x14ac:dyDescent="0.35">
      <c r="A82" s="3" t="s">
        <v>80</v>
      </c>
      <c r="B82" s="4"/>
      <c r="C82" s="5">
        <f>0</f>
        <v>0</v>
      </c>
      <c r="D82" s="5">
        <f t="shared" si="6"/>
        <v>0</v>
      </c>
      <c r="E82" s="6" t="str">
        <f t="shared" si="7"/>
        <v/>
      </c>
    </row>
    <row r="83" spans="1:5" x14ac:dyDescent="0.35">
      <c r="A83" s="3" t="s">
        <v>81</v>
      </c>
      <c r="B83" s="7">
        <f>((((B78)+(B79))+(B80))+(B81))+(B82)</f>
        <v>21618.45</v>
      </c>
      <c r="C83" s="7">
        <f>((((C78)+(C79))+(C80))+(C81))+(C82)</f>
        <v>14190</v>
      </c>
      <c r="D83" s="7">
        <f t="shared" si="6"/>
        <v>7428.4500000000007</v>
      </c>
      <c r="E83" s="8">
        <f t="shared" si="7"/>
        <v>1.5234989429175476</v>
      </c>
    </row>
    <row r="84" spans="1:5" x14ac:dyDescent="0.35">
      <c r="A84" s="3" t="s">
        <v>82</v>
      </c>
      <c r="B84" s="7">
        <f>B83</f>
        <v>21618.45</v>
      </c>
      <c r="C84" s="7">
        <f>C83</f>
        <v>14190</v>
      </c>
      <c r="D84" s="7">
        <f t="shared" si="6"/>
        <v>7428.4500000000007</v>
      </c>
      <c r="E84" s="8">
        <f t="shared" si="7"/>
        <v>1.5234989429175476</v>
      </c>
    </row>
    <row r="85" spans="1:5" x14ac:dyDescent="0.35">
      <c r="A85" s="3" t="s">
        <v>83</v>
      </c>
      <c r="B85" s="4"/>
      <c r="C85" s="4"/>
      <c r="D85" s="4"/>
      <c r="E85" s="4"/>
    </row>
    <row r="86" spans="1:5" x14ac:dyDescent="0.35">
      <c r="A86" s="3" t="s">
        <v>84</v>
      </c>
      <c r="B86" s="4"/>
      <c r="C86" s="4"/>
      <c r="D86" s="5">
        <f t="shared" ref="D86:D95" si="8">(B86)-(C86)</f>
        <v>0</v>
      </c>
      <c r="E86" s="6" t="str">
        <f t="shared" ref="E86:E95" si="9">IF(C86=0,"",(B86)/(C86))</f>
        <v/>
      </c>
    </row>
    <row r="87" spans="1:5" x14ac:dyDescent="0.35">
      <c r="A87" s="3" t="s">
        <v>85</v>
      </c>
      <c r="B87" s="5">
        <f>26.66</f>
        <v>26.66</v>
      </c>
      <c r="C87" s="4"/>
      <c r="D87" s="5">
        <f t="shared" si="8"/>
        <v>26.66</v>
      </c>
      <c r="E87" s="6" t="str">
        <f t="shared" si="9"/>
        <v/>
      </c>
    </row>
    <row r="88" spans="1:5" x14ac:dyDescent="0.35">
      <c r="A88" s="3" t="s">
        <v>86</v>
      </c>
      <c r="B88" s="7">
        <f>(B86)+(B87)</f>
        <v>26.66</v>
      </c>
      <c r="C88" s="7">
        <f>(C86)+(C87)</f>
        <v>0</v>
      </c>
      <c r="D88" s="7">
        <f t="shared" si="8"/>
        <v>26.66</v>
      </c>
      <c r="E88" s="8" t="str">
        <f t="shared" si="9"/>
        <v/>
      </c>
    </row>
    <row r="89" spans="1:5" x14ac:dyDescent="0.35">
      <c r="A89" s="3" t="s">
        <v>87</v>
      </c>
      <c r="B89" s="4"/>
      <c r="C89" s="4"/>
      <c r="D89" s="5">
        <f t="shared" si="8"/>
        <v>0</v>
      </c>
      <c r="E89" s="6" t="str">
        <f t="shared" si="9"/>
        <v/>
      </c>
    </row>
    <row r="90" spans="1:5" x14ac:dyDescent="0.35">
      <c r="A90" s="3" t="s">
        <v>88</v>
      </c>
      <c r="B90" s="5">
        <f>19656.74</f>
        <v>19656.740000000002</v>
      </c>
      <c r="C90" s="4"/>
      <c r="D90" s="5">
        <f t="shared" si="8"/>
        <v>19656.740000000002</v>
      </c>
      <c r="E90" s="6" t="str">
        <f t="shared" si="9"/>
        <v/>
      </c>
    </row>
    <row r="91" spans="1:5" x14ac:dyDescent="0.35">
      <c r="A91" s="3" t="s">
        <v>89</v>
      </c>
      <c r="B91" s="5">
        <f>1072.5</f>
        <v>1072.5</v>
      </c>
      <c r="C91" s="5">
        <f>40000</f>
        <v>40000</v>
      </c>
      <c r="D91" s="5">
        <f t="shared" si="8"/>
        <v>-38927.5</v>
      </c>
      <c r="E91" s="6">
        <f t="shared" si="9"/>
        <v>2.68125E-2</v>
      </c>
    </row>
    <row r="92" spans="1:5" x14ac:dyDescent="0.35">
      <c r="A92" s="3" t="s">
        <v>90</v>
      </c>
      <c r="B92" s="7">
        <f>((B89)+(B90))+(B91)</f>
        <v>20729.240000000002</v>
      </c>
      <c r="C92" s="7">
        <f>((C89)+(C90))+(C91)</f>
        <v>40000</v>
      </c>
      <c r="D92" s="7">
        <f t="shared" si="8"/>
        <v>-19270.759999999998</v>
      </c>
      <c r="E92" s="8">
        <f t="shared" si="9"/>
        <v>0.518231</v>
      </c>
    </row>
    <row r="93" spans="1:5" x14ac:dyDescent="0.35">
      <c r="A93" s="3" t="s">
        <v>91</v>
      </c>
      <c r="B93" s="7">
        <f>(B88)+(B92)</f>
        <v>20755.900000000001</v>
      </c>
      <c r="C93" s="7">
        <f>(C88)+(C92)</f>
        <v>40000</v>
      </c>
      <c r="D93" s="7">
        <f t="shared" si="8"/>
        <v>-19244.099999999999</v>
      </c>
      <c r="E93" s="8">
        <f t="shared" si="9"/>
        <v>0.51889750000000001</v>
      </c>
    </row>
    <row r="94" spans="1:5" x14ac:dyDescent="0.35">
      <c r="A94" s="3" t="s">
        <v>92</v>
      </c>
      <c r="B94" s="7">
        <f>(B84)-(B93)</f>
        <v>862.54999999999927</v>
      </c>
      <c r="C94" s="7">
        <f>(C84)-(C93)</f>
        <v>-25810</v>
      </c>
      <c r="D94" s="7">
        <f t="shared" si="8"/>
        <v>26672.55</v>
      </c>
      <c r="E94" s="8">
        <f t="shared" si="9"/>
        <v>-3.3419217357613301E-2</v>
      </c>
    </row>
    <row r="95" spans="1:5" x14ac:dyDescent="0.35">
      <c r="A95" s="3" t="s">
        <v>93</v>
      </c>
      <c r="B95" s="9">
        <f>(B76)+(B94)</f>
        <v>-14515.030000000017</v>
      </c>
      <c r="C95" s="9">
        <f>(C76)+(C94)</f>
        <v>-45196.56</v>
      </c>
      <c r="D95" s="9">
        <f t="shared" si="8"/>
        <v>30681.529999999981</v>
      </c>
      <c r="E95" s="10">
        <f t="shared" si="9"/>
        <v>0.32115342406590275</v>
      </c>
    </row>
    <row r="96" spans="1:5" x14ac:dyDescent="0.35">
      <c r="A96" s="3"/>
      <c r="B96" s="4"/>
      <c r="C96" s="4"/>
      <c r="D96" s="4"/>
      <c r="E96" s="4"/>
    </row>
    <row r="99" spans="1:5" x14ac:dyDescent="0.35">
      <c r="A99" s="13" t="s">
        <v>94</v>
      </c>
      <c r="B99" s="14"/>
      <c r="C99" s="14"/>
      <c r="D99" s="14"/>
      <c r="E99" s="14"/>
    </row>
  </sheetData>
  <mergeCells count="5">
    <mergeCell ref="B5:E5"/>
    <mergeCell ref="A99:E99"/>
    <mergeCell ref="A1:E1"/>
    <mergeCell ref="A2:E2"/>
    <mergeCell ref="A3:E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vs. Actuals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Geraldine LiaBraaten</cp:lastModifiedBy>
  <cp:lastPrinted>2025-06-16T18:05:47Z</cp:lastPrinted>
  <dcterms:created xsi:type="dcterms:W3CDTF">2025-06-16T18:03:14Z</dcterms:created>
  <dcterms:modified xsi:type="dcterms:W3CDTF">2025-06-16T18:07:42Z</dcterms:modified>
</cp:coreProperties>
</file>